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00" windowHeight="112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<sst xmlns="http://schemas.openxmlformats.org/spreadsheetml/2006/main" count="2005" uniqueCount="702">
  <si>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</si>
  <si>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</si>
  <si>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</si>
  <si>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</si>
  <si>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</si>
  <si>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</si>
  <si>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</si>
  <si>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</si>
  <si>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</si>
  <si>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</si>
  <si>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</si>
  <si>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</si>
  <si>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</si>
  <si>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</si>
  <si>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</si>
  <si>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</si>
  <si>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</si>
  <si>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</si>
  <si>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</si>
  <si>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</si>
  <si>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</si>
  <si>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</si>
  <si>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</si>
  <si>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</si>
  <si>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</si>
  <si>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</si>
  <si>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</si>
  <si>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</si>
  <si>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</si>
  <si>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</si>
  <si>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</si>
  <si>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</si>
  <si>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</si>
  <si>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</si>
  <si>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</si>
  <si>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</si>
  <si>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</si>
  <si>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</si>
  <si>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</si>
  <si>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</si>
  <si>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</si>
  <si>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</si>
  <si>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</si>
  <si>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</si>
  <si>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</si>
  <si>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</si>
  <si>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</si>
  <si>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</si>
  <si>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</si>
  <si>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</si>
  <si>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</si>
  <si>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</si>
  <si>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</si>
  <si>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</si>
  <si>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</si>
  <si>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</si>
  <si>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</si>
  <si>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</si>
  <si>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</si>
  <si>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</si>
  <si>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</si>
  <si>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</si>
  <si>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</si>
  <si>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</si>
  <si>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</si>
  <si>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</si>
  <si>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</si>
  <si>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</si>
  <si>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</si>
  <si>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</si>
  <si>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</si>
  <si>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</si>
  <si>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</si>
  <si>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</si>
  <si>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</si>
  <si>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</si>
  <si>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</si>
  <si>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</si>
  <si>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</si>
  <si>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</si>
  <si>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</si>
  <si>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</si>
  <si>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</si>
  <si>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</si>
  <si>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</si>
  <si>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</si>
  <si>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</si>
  <si>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</si>
  <si>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</si>
  <si>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</si>
  <si>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</si>
  <si>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</si>
  <si>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</si>
  <si>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</si>
  <si>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</si>
  <si>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</si>
  <si>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</si>
  <si>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</si>
  <si>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</si>
  <si>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</si>
  <si>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</si>
  <si>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</si>
  <si>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</si>
  <si>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</si>
  <si>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</si>
  <si>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</si>
  <si>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</si>
  <si>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</si>
  <si>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</si>
  <si>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</si>
  <si>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</si>
  <si>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</si>
  <si>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</si>
  <si>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</si>
  <si>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</si>
  <si>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</si>
  <si>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</si>
  <si>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</si>
  <si>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</si>
  <si>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</si>
  <si>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</si>
  <si>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</si>
  <si>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</si>
  <si>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</si>
  <si>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</si>
  <si>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</si>
  <si>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</si>
  <si>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</si>
  <si>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</si>
  <si>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</si>
  <si>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</si>
  <si>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</si>
  <si>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</si>
  <si>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</si>
  <si>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</si>
  <si>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</si>
  <si>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</si>
  <si>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</si>
  <si>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</si>
  <si>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</si>
  <si>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</si>
  <si>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</si>
  <si>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</si>
  <si>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</si>
  <si>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</si>
  <si>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</si>
  <si>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</si>
  <si>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</si>
  <si>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</si>
  <si>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</si>
  <si>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</si>
  <si>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</si>
  <si>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</si>
  <si>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</si>
  <si>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</si>
  <si>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</si>
  <si>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</si>
  <si>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</si>
  <si>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</si>
  <si>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</si>
  <si>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</si>
  <si>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</si>
  <si>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</si>
  <si>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</si>
  <si>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</si>
  <si>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</si>
  <si>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</si>
  <si>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</si>
  <si>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</si>
  <si>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</si>
  <si>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</si>
  <si>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</si>
  <si>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</si>
  <si>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</si>
  <si>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</si>
  <si>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</si>
  <si>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</si>
  <si>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</si>
  <si>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</si>
  <si>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</si>
  <si>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</si>
  <si>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</si>
  <si>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</si>
  <si>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</si>
  <si>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</si>
  <si>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</si>
  <si>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</si>
  <si>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</si>
  <si>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</si>
  <si>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</si>
  <si>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</si>
  <si>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</si>
  <si>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</si>
  <si>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</si>
  <si>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</si>
  <si>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</si>
  <si>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</si>
  <si>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</si>
  <si>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</si>
  <si>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</si>
  <si>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</si>
  <si>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</si>
  <si>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</si>
  <si>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</si>
  <si>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</si>
  <si>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</si>
  <si>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</si>
  <si>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</si>
  <si>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</si>
  <si>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</si>
  <si>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</si>
  <si>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</si>
  <si>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</si>
  <si>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</si>
  <si>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</si>
  <si>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</si>
  <si>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</si>
  <si>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</si>
  <si>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</si>
  <si>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</si>
  <si>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</si>
  <si>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</si>
  <si>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</si>
  <si>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</si>
  <si>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</si>
  <si>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</si>
  <si>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</si>
  <si>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</si>
  <si>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</si>
  <si>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</si>
  <si>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</si>
  <si>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</si>
  <si>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</si>
  <si>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</si>
  <si>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</si>
  <si>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</si>
  <si>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</si>
  <si>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</si>
  <si>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</si>
  <si>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</si>
  <si>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</si>
  <si>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</si>
  <si>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</si>
  <si>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</si>
  <si>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</si>
  <si>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</si>
  <si>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</si>
  <si>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</si>
  <si>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</si>
  <si>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</si>
  <si>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</si>
  <si>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</si>
  <si>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</si>
  <si>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</si>
  <si>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</si>
  <si>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</si>
  <si>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</si>
  <si>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</si>
  <si>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</si>
  <si>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</si>
  <si>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</si>
  <si>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</si>
  <si>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</si>
  <si>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</si>
  <si>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</si>
  <si>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</si>
  <si>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</si>
  <si>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</si>
  <si>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</si>
  <si>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</si>
  <si>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</si>
  <si>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</si>
  <si>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</si>
  <si>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</si>
  <si>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</si>
  <si>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</si>
  <si>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</si>
  <si>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</si>
  <si>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</si>
  <si>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</si>
  <si>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</si>
  <si>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</si>
  <si>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</si>
  <si>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</si>
  <si>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</si>
  <si>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</si>
  <si>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</si>
  <si>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</si>
  <si>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</si>
  <si>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</si>
  <si>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</si>
  <si>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</si>
  <si>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</si>
  <si>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</si>
  <si>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</si>
  <si>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</si>
  <si>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</si>
  <si>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</si>
  <si>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</si>
  <si>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</si>
  <si>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</si>
  <si>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</si>
  <si>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</si>
  <si>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</si>
  <si>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</si>
  <si>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</si>
  <si>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</si>
  <si>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</si>
  <si>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</si>
  <si>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</si>
  <si>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</si>
  <si>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</si>
  <si>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</si>
  <si>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</si>
  <si>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</si>
  <si>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</si>
  <si>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</si>
  <si>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</si>
  <si>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</si>
  <si>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</si>
  <si>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</si>
  <si>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</si>
  <si>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</si>
  <si>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</si>
  <si>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</si>
  <si>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</si>
  <si>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</si>
  <si>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</si>
  <si>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</si>
  <si>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</si>
  <si>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</si>
  <si>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</si>
  <si>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</si>
  <si>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</si>
  <si>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</si>
  <si>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</si>
  <si>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</si>
  <si>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</si>
  <si>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</si>
  <si>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</si>
  <si>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</si>
  <si>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</si>
  <si>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</si>
  <si>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</si>
  <si>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</si>
  <si>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</si>
  <si>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</si>
  <si>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</si>
  <si>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</si>
  <si>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</si>
  <si>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</si>
  <si>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</si>
  <si>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</si>
  <si>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</si>
  <si>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</si>
  <si>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</si>
  <si>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</si>
  <si>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</si>
  <si>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</si>
  <si>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</si>
  <si>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</si>
  <si>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</si>
  <si>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</si>
  <si>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</si>
  <si>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</si>
  <si>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</si>
  <si>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</si>
  <si>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</si>
  <si>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</si>
  <si>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</si>
  <si>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</si>
  <si>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</si>
  <si>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</si>
  <si>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</si>
  <si>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</si>
  <si>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</si>
  <si>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</si>
  <si>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</si>
  <si>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</si>
  <si>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</si>
  <si>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</si>
  <si>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</si>
  <si>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</si>
  <si>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</si>
  <si>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</si>
  <si>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</si>
  <si>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</si>
  <si>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</si>
  <si>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</si>
  <si>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</si>
  <si>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</si>
  <si>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</si>
  <si>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</si>
  <si>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</si>
  <si>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</si>
  <si>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</si>
  <si>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</si>
  <si>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</si>
  <si>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</si>
  <si>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</si>
  <si>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</si>
  <si>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</si>
  <si>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</si>
  <si>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</si>
  <si>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</si>
  <si>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</si>
  <si>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</si>
  <si>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</si>
  <si>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</si>
  <si>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</si>
  <si>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</si>
  <si>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</si>
  <si>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</si>
  <si>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</si>
  <si>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</si>
  <si>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</si>
  <si>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</si>
  <si>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</si>
  <si>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</si>
  <si>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</si>
  <si>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</si>
  <si>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</si>
  <si>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</si>
  <si>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</si>
  <si>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</si>
  <si>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</si>
  <si>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</si>
  <si>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</si>
  <si>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</si>
  <si>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</si>
  <si>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</si>
  <si>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</si>
  <si>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</si>
  <si>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</si>
  <si>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</si>
  <si>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</si>
  <si>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</si>
  <si>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</si>
  <si>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</si>
  <si>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</si>
  <si>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</si>
  <si>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</si>
  <si>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</si>
  <si>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</si>
  <si>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</si>
  <si>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</si>
  <si>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</si>
  <si>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</si>
  <si>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</si>
  <si>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</si>
  <si>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</si>
  <si>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</si>
  <si>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</si>
  <si>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</si>
  <si>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</si>
  <si>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</si>
  <si>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</si>
  <si>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</si>
  <si>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</si>
  <si>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</si>
  <si>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</si>
  <si>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</si>
  <si>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</si>
  <si>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</si>
  <si>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</si>
  <si>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</si>
  <si>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</si>
  <si>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</si>
  <si>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</si>
  <si>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</si>
  <si>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</si>
  <si>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</si>
  <si>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</si>
  <si>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</si>
  <si>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</si>
  <si>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</si>
  <si>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</si>
  <si>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</si>
  <si>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</si>
  <si>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</si>
  <si>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</si>
  <si>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</si>
  <si>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</si>
  <si>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</si>
  <si>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</si>
  <si>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</si>
  <si>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</si>
  <si>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</si>
  <si>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</si>
  <si>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</si>
  <si>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</si>
  <si>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</si>
  <si>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</si>
  <si>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</si>
  <si>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</si>
  <si>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</si>
  <si>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</si>
  <si>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</si>
  <si>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</si>
  <si>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</si>
  <si>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</si>
  <si>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</si>
  <si>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</si>
  <si>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</si>
  <si>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</si>
  <si>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</si>
  <si>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</si>
  <si>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</si>
  <si>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</si>
  <si>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</si>
  <si>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</si>
  <si>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</si>
  <si>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</si>
  <si>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</si>
  <si>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</si>
  <si>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</si>
  <si>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</si>
  <si>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</si>
  <si>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</si>
  <si>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</si>
  <si>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</si>
  <si>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</si>
  <si>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</si>
  <si>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</si>
  <si>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</si>
  <si>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</si>
  <si>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</si>
  <si>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</si>
  <si>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</si>
  <si>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</si>
  <si>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</si>
  <si>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</si>
  <si>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</si>
  <si>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</si>
  <si>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</si>
  <si>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</si>
  <si>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</si>
  <si>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</si>
  <si>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</si>
  <si>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</si>
  <si>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</si>
  <si>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</si>
  <si>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</si>
  <si>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</si>
  <si>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</si>
  <si>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</si>
  <si>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</si>
  <si>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</si>
  <si>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</si>
  <si>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</si>
  <si>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</si>
  <si>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</si>
  <si>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</si>
  <si>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</si>
  <si>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</si>
  <si>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</si>
  <si>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</si>
  <si>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</si>
  <si>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</si>
  <si>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</si>
  <si>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</si>
  <si>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</si>
  <si>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</si>
  <si>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</si>
  <si>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</si>
  <si>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</si>
  <si>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</si>
  <si>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</si>
  <si>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</si>
  <si>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</si>
  <si>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</si>
  <si>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</si>
  <si>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</si>
  <si>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</si>
  <si>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</si>
  <si>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</si>
  <si>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</si>
  <si>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</si>
  <si>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</si>
  <si>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</si>
  <si>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</si>
  <si>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</si>
  <si>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</si>
  <si>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</si>
  <si>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</si>
  <si>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</si>
  <si>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</si>
  <si>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</si>
  <si>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</si>
  <si>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</si>
  <si>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</si>
  <si>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</si>
  <si>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</si>
  <si>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</si>
  <si>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</si>
  <si>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</si>
  <si>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</si>
  <si>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</si>
  <si>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</si>
  <si>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</si>
  <si>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</si>
  <si>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</si>
  <si>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</si>
  <si>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</si>
  <si>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</si>
  <si>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</si>
  <si>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</si>
  <si>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</si>
  <si>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</si>
  <si>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</si>
  <si>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</si>
  <si>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</si>
  <si>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</si>
  <si>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</si>
  <si>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</si>
  <si>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</si>
  <si>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</si>
  <si>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</si>
  <si>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</si>
  <si>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</si>
  <si>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</si>
  <si>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</si>
  <si>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</si>
  <si>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</si>
  <si>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</si>
  <si>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</si>
  <si>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</si>
  <si>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</si>
  <si>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</si>
  <si>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</si>
  <si>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</si>
  <si>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</si>
  <si>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</si>
  <si>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</si>
  <si>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</si>
  <si>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</si>
  <si>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</si>
  <si>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</si>
  <si>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</si>
  <si>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</si>
  <si>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</si>
  <si>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</si>
  <si>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</si>
  <si>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</si>
  <si>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</si>
  <si>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</si>
  <si>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</si>
  <si>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</si>
  <si>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</si>
  <si>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</si>
  <si>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</si>
  <si>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</si>
  <si>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</si>
  <si>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</si>
  <si>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</si>
  <si>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</si>
  <si>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</si>
  <si>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</si>
  <si>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</si>
  <si>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</si>
  <si>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</si>
  <si>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</si>
  <si>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</si>
  <si>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</si>
  <si>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</si>
  <si>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</si>
  <si>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</si>
  <si>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</si>
  <si>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</si>
  <si>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</si>
  <si>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</si>
  <si>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</si>
  <si>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</si>
  <si>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</si>
  <si>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</si>
  <si>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</si>
  <si>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</si>
  <si>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</si>
  <si>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</si>
  <si>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</si>
  <si>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</si>
  <si>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</si>
  <si>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</si>
  <si>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</si>
  <si>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</si>
  <si>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</si>
  <si>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</si>
  <si>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</si>
  <si>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</si>
  <si>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</si>
  <si>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Николай Яцино</t>
  </si>
  <si>
    <t>главен счетоводител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</si>
  <si>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</si>
  <si>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</si>
  <si>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</si>
  <si>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</si>
  <si>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Sirma Group Inc.</t>
  </si>
  <si>
    <t>http://www.x3news.com/</t>
  </si>
  <si>
    <t>1. Сирма Ей Ай ЕАД</t>
  </si>
  <si>
    <t>6. Сирма Си Ай АД</t>
  </si>
  <si>
    <t>1.</t>
  </si>
  <si>
    <t xml:space="preserve">1.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</si>
</sst>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4">
        <v>1</v>
      </c>
      <c r="AA1" s="475">
        <f>IF(ISBLANK(_endDate),"",_endDate)</f>
        <v>44286</v>
      </c>
    </row>
    <row r="2" spans="1:27" ht="15.75">
      <c r="A2" s="463" t="s">
        <v>680</v>
      </c>
      <c r="B2" s="458"/>
      <c r="Z2" s="474">
        <v>2</v>
      </c>
      <c r="AA2" s="475">
        <f>IF(ISBLANK(_pdeReportingDate),"",_pdeReportingDate)</f>
        <v>44321</v>
      </c>
    </row>
    <row r="3" spans="1:27" ht="15.75">
      <c r="A3" s="459" t="s">
        <v>655</v>
      </c>
      <c r="B3" s="460"/>
      <c r="Z3" s="474">
        <v>3</v>
      </c>
      <c r="AA3" s="475" t="str">
        <f>IF(ISBLANK(_authorName),"",_authorName)</f>
        <v>Николай Яцино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44197</v>
      </c>
    </row>
    <row r="10" spans="1:2" ht="15.75">
      <c r="A10" s="7" t="s">
        <v>2</v>
      </c>
      <c r="B10" s="355">
        <v>44286</v>
      </c>
    </row>
    <row r="11" spans="1:2" ht="15.75">
      <c r="A11" s="7" t="s">
        <v>668</v>
      </c>
      <c r="B11" s="355">
        <v>44321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76" t="s">
        <v>697</v>
      </c>
    </row>
    <row r="26" spans="1:2" ht="15.75">
      <c r="A26" s="10" t="s">
        <v>661</v>
      </c>
      <c r="B26" s="356" t="s">
        <v>690</v>
      </c>
    </row>
    <row r="27" spans="1:2" ht="15.75">
      <c r="A27" s="10" t="s">
        <v>662</v>
      </c>
      <c r="B27" s="356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C1">
      <selection activeCell="E38" sqref="E3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149</v>
      </c>
      <c r="D13" s="138">
        <v>149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72</v>
      </c>
      <c r="D14" s="138">
        <v>81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-585</v>
      </c>
      <c r="H15" s="138">
        <v>-585</v>
      </c>
    </row>
    <row r="16" spans="1:8" ht="15.75">
      <c r="A16" s="76" t="s">
        <v>38</v>
      </c>
      <c r="B16" s="78" t="s">
        <v>39</v>
      </c>
      <c r="C16" s="138">
        <v>156</v>
      </c>
      <c r="D16" s="138">
        <v>166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203</v>
      </c>
      <c r="D17" s="138">
        <v>210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74</v>
      </c>
      <c r="D18" s="138">
        <v>7</v>
      </c>
      <c r="E18" s="270" t="s">
        <v>47</v>
      </c>
      <c r="F18" s="269" t="s">
        <v>48</v>
      </c>
      <c r="G18" s="386">
        <f>G12+G15+G16+G17</f>
        <v>58776</v>
      </c>
      <c r="H18" s="387">
        <f>H12+H15+H16+H17</f>
        <v>58776</v>
      </c>
    </row>
    <row r="19" spans="1:8" ht="15.75">
      <c r="A19" s="76" t="s">
        <v>49</v>
      </c>
      <c r="B19" s="78" t="s">
        <v>50</v>
      </c>
      <c r="C19" s="138">
        <v>29</v>
      </c>
      <c r="D19" s="138">
        <v>31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683</v>
      </c>
      <c r="D20" s="375">
        <f>SUM(D12:D19)</f>
        <v>644</v>
      </c>
      <c r="E20" s="76" t="s">
        <v>54</v>
      </c>
      <c r="F20" s="80" t="s">
        <v>55</v>
      </c>
      <c r="G20" s="138">
        <v>5497</v>
      </c>
      <c r="H20" s="138">
        <v>5497</v>
      </c>
    </row>
    <row r="21" spans="1:8" ht="15.75">
      <c r="A21" s="87" t="s">
        <v>56</v>
      </c>
      <c r="B21" s="83" t="s">
        <v>57</v>
      </c>
      <c r="C21" s="265">
        <v>7149</v>
      </c>
      <c r="D21" s="265">
        <v>7171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1042</v>
      </c>
      <c r="H22" s="391">
        <f>SUM(H23:H25)</f>
        <v>1042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1042</v>
      </c>
      <c r="H23" s="138">
        <v>1042</v>
      </c>
    </row>
    <row r="24" spans="1:13" ht="15.75">
      <c r="A24" s="76" t="s">
        <v>67</v>
      </c>
      <c r="B24" s="78" t="s">
        <v>68</v>
      </c>
      <c r="C24" s="138">
        <v>938</v>
      </c>
      <c r="D24" s="138">
        <v>965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0</v>
      </c>
      <c r="D25" s="138">
        <v>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4859</v>
      </c>
      <c r="D26" s="138">
        <v>4831</v>
      </c>
      <c r="E26" s="273" t="s">
        <v>77</v>
      </c>
      <c r="F26" s="82" t="s">
        <v>78</v>
      </c>
      <c r="G26" s="374">
        <f>G20+G21+G22</f>
        <v>6539</v>
      </c>
      <c r="H26" s="375">
        <f>H20+H21+H22</f>
        <v>6539</v>
      </c>
      <c r="M26" s="85"/>
    </row>
    <row r="27" spans="1:8" ht="15.75">
      <c r="A27" s="76" t="s">
        <v>79</v>
      </c>
      <c r="B27" s="78" t="s">
        <v>80</v>
      </c>
      <c r="C27" s="138">
        <v>3803</v>
      </c>
      <c r="D27" s="138">
        <v>3857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9600</v>
      </c>
      <c r="D28" s="375">
        <f>SUM(D24:D27)</f>
        <v>9653</v>
      </c>
      <c r="E28" s="143" t="s">
        <v>84</v>
      </c>
      <c r="F28" s="80" t="s">
        <v>85</v>
      </c>
      <c r="G28" s="372">
        <f>SUM(G29:G31)</f>
        <v>8125</v>
      </c>
      <c r="H28" s="373">
        <f>SUM(H29:H31)</f>
        <v>7130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8139</v>
      </c>
      <c r="H29" s="138">
        <v>7144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-14</v>
      </c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73</v>
      </c>
      <c r="H32" s="138">
        <v>995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8">
        <v>0</v>
      </c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8198</v>
      </c>
      <c r="H34" s="375">
        <f>H28+H32+H33</f>
        <v>8125</v>
      </c>
    </row>
    <row r="35" spans="1:8" ht="15.75">
      <c r="A35" s="76" t="s">
        <v>106</v>
      </c>
      <c r="B35" s="81" t="s">
        <v>107</v>
      </c>
      <c r="C35" s="372">
        <f>SUM(C36:C39)</f>
        <v>67904</v>
      </c>
      <c r="D35" s="373">
        <f>SUM(D36:D39)</f>
        <v>67904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67904</v>
      </c>
      <c r="D36" s="138">
        <v>67904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73513</v>
      </c>
      <c r="H37" s="377">
        <f>H26+H18+H34</f>
        <v>73440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6179</v>
      </c>
      <c r="H44" s="138">
        <v>6179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5879</v>
      </c>
      <c r="H45" s="138">
        <v>6407</v>
      </c>
    </row>
    <row r="46" spans="1:13" ht="15.75">
      <c r="A46" s="262" t="s">
        <v>137</v>
      </c>
      <c r="B46" s="83" t="s">
        <v>138</v>
      </c>
      <c r="C46" s="374">
        <f>C35+C40+C45</f>
        <v>67904</v>
      </c>
      <c r="D46" s="375">
        <f>D35+D40+D45</f>
        <v>67904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3807</v>
      </c>
      <c r="D48" s="138">
        <v>3807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38</v>
      </c>
      <c r="H49" s="138">
        <v>38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12096</v>
      </c>
      <c r="H50" s="373">
        <f>SUM(H44:H49)</f>
        <v>12624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3807</v>
      </c>
      <c r="D52" s="375">
        <f>SUM(D48:D51)</f>
        <v>3807</v>
      </c>
      <c r="E52" s="142" t="s">
        <v>158</v>
      </c>
      <c r="F52" s="82" t="s">
        <v>159</v>
      </c>
      <c r="G52" s="138"/>
      <c r="H52" s="138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7">
        <v>56</v>
      </c>
      <c r="D55" s="268">
        <v>56</v>
      </c>
      <c r="E55" s="76" t="s">
        <v>168</v>
      </c>
      <c r="F55" s="82" t="s">
        <v>169</v>
      </c>
      <c r="G55" s="138"/>
      <c r="H55" s="138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89199</v>
      </c>
      <c r="D56" s="379">
        <f>D20+D21+D22+D28+D33+D46+D52+D54+D55</f>
        <v>89235</v>
      </c>
      <c r="E56" s="87" t="s">
        <v>557</v>
      </c>
      <c r="F56" s="86" t="s">
        <v>172</v>
      </c>
      <c r="G56" s="376">
        <f>G50+G52+G53+G54+G55</f>
        <v>12096</v>
      </c>
      <c r="H56" s="377">
        <f>H50+H52+H53+H54+H55</f>
        <v>12624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4314</v>
      </c>
      <c r="H59" s="138">
        <v>4300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5183</v>
      </c>
      <c r="H61" s="373">
        <f>SUM(H62:H68)</f>
        <v>3345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4857</v>
      </c>
      <c r="H62" s="138">
        <v>2811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133</v>
      </c>
      <c r="H64" s="138">
        <v>128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126</v>
      </c>
      <c r="H66" s="138">
        <v>68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16</v>
      </c>
      <c r="H67" s="138">
        <v>17</v>
      </c>
    </row>
    <row r="68" spans="1:8" ht="15.75">
      <c r="A68" s="76" t="s">
        <v>206</v>
      </c>
      <c r="B68" s="78" t="s">
        <v>207</v>
      </c>
      <c r="C68" s="138">
        <v>2402</v>
      </c>
      <c r="D68" s="138">
        <v>2500</v>
      </c>
      <c r="E68" s="76" t="s">
        <v>212</v>
      </c>
      <c r="F68" s="80" t="s">
        <v>213</v>
      </c>
      <c r="G68" s="138">
        <v>51</v>
      </c>
      <c r="H68" s="138">
        <v>321</v>
      </c>
    </row>
    <row r="69" spans="1:8" ht="15.75">
      <c r="A69" s="76" t="s">
        <v>210</v>
      </c>
      <c r="B69" s="78" t="s">
        <v>211</v>
      </c>
      <c r="C69" s="138">
        <v>39</v>
      </c>
      <c r="D69" s="138">
        <v>16</v>
      </c>
      <c r="E69" s="142" t="s">
        <v>79</v>
      </c>
      <c r="F69" s="80" t="s">
        <v>216</v>
      </c>
      <c r="G69" s="138"/>
      <c r="H69" s="138">
        <v>0</v>
      </c>
    </row>
    <row r="70" spans="1:8" ht="15.75">
      <c r="A70" s="76" t="s">
        <v>214</v>
      </c>
      <c r="B70" s="78" t="s">
        <v>215</v>
      </c>
      <c r="C70" s="138">
        <v>38</v>
      </c>
      <c r="D70" s="138">
        <v>32</v>
      </c>
      <c r="E70" s="76" t="s">
        <v>219</v>
      </c>
      <c r="F70" s="80" t="s">
        <v>220</v>
      </c>
      <c r="G70" s="138">
        <v>80</v>
      </c>
      <c r="H70" s="138">
        <v>80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9577</v>
      </c>
      <c r="H71" s="375">
        <f>H59+H60+H61+H69+H70</f>
        <v>7725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498</v>
      </c>
      <c r="D75" s="138">
        <v>495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2977</v>
      </c>
      <c r="D76" s="375">
        <f>SUM(D68:D75)</f>
        <v>3043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7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9577</v>
      </c>
      <c r="H79" s="377">
        <f>H71+H73+H75+H77</f>
        <v>7725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45</v>
      </c>
      <c r="D88" s="138">
        <v>43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2687</v>
      </c>
      <c r="D89" s="138">
        <v>1245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2732</v>
      </c>
      <c r="D92" s="375">
        <f>SUM(D88:D91)</f>
        <v>1288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278</v>
      </c>
      <c r="D93" s="267">
        <v>223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5987</v>
      </c>
      <c r="D94" s="379">
        <f>D65+D76+D85+D92+D93</f>
        <v>4554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95186</v>
      </c>
      <c r="D95" s="381">
        <f>D94+D56</f>
        <v>93789</v>
      </c>
      <c r="E95" s="169" t="s">
        <v>635</v>
      </c>
      <c r="F95" s="278" t="s">
        <v>268</v>
      </c>
      <c r="G95" s="380">
        <f>G37+G40+G56+G79</f>
        <v>95186</v>
      </c>
      <c r="H95" s="381">
        <f>H37+H40+H56+H79</f>
        <v>93789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69" t="s">
        <v>668</v>
      </c>
      <c r="B98" s="480">
        <f>pdeReportingDate</f>
        <v>44321</v>
      </c>
      <c r="C98" s="480"/>
      <c r="D98" s="480"/>
      <c r="E98" s="480"/>
      <c r="F98" s="480"/>
      <c r="G98" s="480"/>
      <c r="H98" s="480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1" t="str">
        <f>authorName</f>
        <v>Николай Яцино</v>
      </c>
      <c r="C100" s="481"/>
      <c r="D100" s="481"/>
      <c r="E100" s="481"/>
      <c r="F100" s="481"/>
      <c r="G100" s="481"/>
      <c r="H100" s="481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79" t="s">
        <v>670</v>
      </c>
      <c r="C103" s="479"/>
      <c r="D103" s="479"/>
      <c r="E103" s="479"/>
      <c r="M103" s="85"/>
    </row>
    <row r="104" spans="1:5" ht="21.75" customHeight="1">
      <c r="A104" s="471"/>
      <c r="B104" s="479" t="s">
        <v>670</v>
      </c>
      <c r="C104" s="479"/>
      <c r="D104" s="479"/>
      <c r="E104" s="479"/>
    </row>
    <row r="105" spans="1:13" ht="21.75" customHeight="1">
      <c r="A105" s="471"/>
      <c r="B105" s="479" t="s">
        <v>670</v>
      </c>
      <c r="C105" s="479"/>
      <c r="D105" s="479"/>
      <c r="E105" s="479"/>
      <c r="M105" s="85"/>
    </row>
    <row r="106" spans="1:5" ht="21.75" customHeight="1">
      <c r="A106" s="471"/>
      <c r="B106" s="479" t="s">
        <v>670</v>
      </c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1">
      <selection activeCell="C29" sqref="C29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14</v>
      </c>
      <c r="D12" s="254">
        <v>22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260</v>
      </c>
      <c r="D13" s="254">
        <v>159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137</v>
      </c>
      <c r="D14" s="254">
        <v>193</v>
      </c>
      <c r="E14" s="185" t="s">
        <v>285</v>
      </c>
      <c r="F14" s="180" t="s">
        <v>286</v>
      </c>
      <c r="G14" s="254">
        <v>829</v>
      </c>
      <c r="H14" s="254">
        <v>480</v>
      </c>
    </row>
    <row r="15" spans="1:8" ht="15.75">
      <c r="A15" s="135" t="s">
        <v>287</v>
      </c>
      <c r="B15" s="131" t="s">
        <v>288</v>
      </c>
      <c r="C15" s="254">
        <v>286</v>
      </c>
      <c r="D15" s="254">
        <v>279</v>
      </c>
      <c r="E15" s="185" t="s">
        <v>79</v>
      </c>
      <c r="F15" s="180" t="s">
        <v>289</v>
      </c>
      <c r="G15" s="254">
        <v>14</v>
      </c>
      <c r="H15" s="254">
        <v>57</v>
      </c>
    </row>
    <row r="16" spans="1:8" ht="15.75">
      <c r="A16" s="135" t="s">
        <v>290</v>
      </c>
      <c r="B16" s="131" t="s">
        <v>291</v>
      </c>
      <c r="C16" s="254">
        <v>28</v>
      </c>
      <c r="D16" s="254">
        <v>32</v>
      </c>
      <c r="E16" s="176" t="s">
        <v>52</v>
      </c>
      <c r="F16" s="204" t="s">
        <v>292</v>
      </c>
      <c r="G16" s="405">
        <f>SUM(G12:G15)</f>
        <v>843</v>
      </c>
      <c r="H16" s="406">
        <f>SUM(H12:H15)</f>
        <v>537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>
        <v>-27</v>
      </c>
      <c r="D18" s="254">
        <v>-25</v>
      </c>
      <c r="E18" s="174" t="s">
        <v>297</v>
      </c>
      <c r="F18" s="178" t="s">
        <v>298</v>
      </c>
      <c r="G18" s="416"/>
      <c r="H18" s="416">
        <v>14</v>
      </c>
    </row>
    <row r="19" spans="1:8" ht="15.75">
      <c r="A19" s="135" t="s">
        <v>299</v>
      </c>
      <c r="B19" s="131" t="s">
        <v>300</v>
      </c>
      <c r="C19" s="254">
        <v>3</v>
      </c>
      <c r="D19" s="254">
        <v>20</v>
      </c>
      <c r="E19" s="135" t="s">
        <v>301</v>
      </c>
      <c r="F19" s="177" t="s">
        <v>302</v>
      </c>
      <c r="G19" s="254"/>
      <c r="H19" s="416">
        <v>14</v>
      </c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701</v>
      </c>
      <c r="D22" s="406">
        <f>SUM(D12:D18)+D19</f>
        <v>680</v>
      </c>
      <c r="E22" s="135" t="s">
        <v>309</v>
      </c>
      <c r="F22" s="177" t="s">
        <v>310</v>
      </c>
      <c r="G22" s="254"/>
      <c r="H22" s="254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70</v>
      </c>
      <c r="D25" s="254">
        <v>68</v>
      </c>
      <c r="E25" s="135" t="s">
        <v>318</v>
      </c>
      <c r="F25" s="177" t="s">
        <v>319</v>
      </c>
      <c r="G25" s="254">
        <v>14</v>
      </c>
      <c r="H25" s="254">
        <v>8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>
        <v>7</v>
      </c>
      <c r="D27" s="254">
        <v>4</v>
      </c>
      <c r="E27" s="176" t="s">
        <v>104</v>
      </c>
      <c r="F27" s="178" t="s">
        <v>326</v>
      </c>
      <c r="G27" s="405">
        <f>SUM(G22:G26)</f>
        <v>14</v>
      </c>
      <c r="H27" s="406">
        <f>SUM(H22:H26)</f>
        <v>9</v>
      </c>
    </row>
    <row r="28" spans="1:8" ht="15.75">
      <c r="A28" s="135" t="s">
        <v>79</v>
      </c>
      <c r="B28" s="177" t="s">
        <v>327</v>
      </c>
      <c r="C28" s="254">
        <v>6</v>
      </c>
      <c r="D28" s="254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83</v>
      </c>
      <c r="D29" s="406">
        <f>SUM(D25:D28)</f>
        <v>77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784</v>
      </c>
      <c r="D31" s="412">
        <f>D29+D22</f>
        <v>757</v>
      </c>
      <c r="E31" s="191" t="s">
        <v>548</v>
      </c>
      <c r="F31" s="206" t="s">
        <v>331</v>
      </c>
      <c r="G31" s="193">
        <f>G16+G18+G27</f>
        <v>857</v>
      </c>
      <c r="H31" s="194">
        <f>H16+H18+H27</f>
        <v>560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73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197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784</v>
      </c>
      <c r="D36" s="414">
        <f>D31-D34+D35</f>
        <v>757</v>
      </c>
      <c r="E36" s="202" t="s">
        <v>346</v>
      </c>
      <c r="F36" s="196" t="s">
        <v>347</v>
      </c>
      <c r="G36" s="207">
        <f>G35-G34+G31</f>
        <v>857</v>
      </c>
      <c r="H36" s="208">
        <f>H35-H34+H31</f>
        <v>560</v>
      </c>
    </row>
    <row r="37" spans="1:8" ht="15.75">
      <c r="A37" s="201" t="s">
        <v>348</v>
      </c>
      <c r="B37" s="171" t="s">
        <v>349</v>
      </c>
      <c r="C37" s="411">
        <f>IF((G36-C36)&gt;0,G36-C36,0)</f>
        <v>73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197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197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197</v>
      </c>
    </row>
    <row r="45" spans="1:8" ht="16.5" thickBot="1">
      <c r="A45" s="210" t="s">
        <v>371</v>
      </c>
      <c r="B45" s="211" t="s">
        <v>372</v>
      </c>
      <c r="C45" s="407">
        <f>C36+C38+C42</f>
        <v>857</v>
      </c>
      <c r="D45" s="408">
        <f>D36+D38+D42</f>
        <v>757</v>
      </c>
      <c r="E45" s="210" t="s">
        <v>373</v>
      </c>
      <c r="F45" s="212" t="s">
        <v>374</v>
      </c>
      <c r="G45" s="407">
        <f>G42+G36</f>
        <v>857</v>
      </c>
      <c r="H45" s="408">
        <f>H42+H36</f>
        <v>757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3" t="s">
        <v>669</v>
      </c>
      <c r="B47" s="483"/>
      <c r="C47" s="483"/>
      <c r="D47" s="483"/>
      <c r="E47" s="483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69" t="s">
        <v>668</v>
      </c>
      <c r="B50" s="480">
        <f>pdeReportingDate</f>
        <v>44321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1" t="str">
        <f>authorName</f>
        <v>Николай Яцино</v>
      </c>
      <c r="C52" s="481"/>
      <c r="D52" s="481"/>
      <c r="E52" s="481"/>
      <c r="F52" s="481"/>
      <c r="G52" s="481"/>
      <c r="H52" s="481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79" t="s">
        <v>670</v>
      </c>
      <c r="C55" s="479"/>
      <c r="D55" s="479"/>
      <c r="E55" s="479"/>
      <c r="F55" s="351"/>
      <c r="G55" s="41"/>
      <c r="H55" s="39"/>
    </row>
    <row r="56" spans="1:8" ht="15.75" customHeight="1">
      <c r="A56" s="471"/>
      <c r="B56" s="479" t="s">
        <v>670</v>
      </c>
      <c r="C56" s="479"/>
      <c r="D56" s="479"/>
      <c r="E56" s="479"/>
      <c r="F56" s="351"/>
      <c r="G56" s="41"/>
      <c r="H56" s="39"/>
    </row>
    <row r="57" spans="1:8" ht="15.75" customHeight="1">
      <c r="A57" s="471"/>
      <c r="B57" s="479" t="s">
        <v>670</v>
      </c>
      <c r="C57" s="479"/>
      <c r="D57" s="479"/>
      <c r="E57" s="479"/>
      <c r="F57" s="351"/>
      <c r="G57" s="41"/>
      <c r="H57" s="39"/>
    </row>
    <row r="58" spans="1:8" ht="15.75" customHeight="1">
      <c r="A58" s="471"/>
      <c r="B58" s="479" t="s">
        <v>670</v>
      </c>
      <c r="C58" s="479"/>
      <c r="D58" s="479"/>
      <c r="E58" s="479"/>
      <c r="F58" s="351"/>
      <c r="G58" s="41"/>
      <c r="H58" s="39"/>
    </row>
    <row r="59" spans="1:8" ht="15.75">
      <c r="A59" s="471"/>
      <c r="B59" s="479"/>
      <c r="C59" s="479"/>
      <c r="D59" s="479"/>
      <c r="E59" s="479"/>
      <c r="F59" s="351"/>
      <c r="G59" s="41"/>
      <c r="H59" s="39"/>
    </row>
    <row r="60" spans="1:8" ht="15.75">
      <c r="A60" s="471"/>
      <c r="B60" s="479"/>
      <c r="C60" s="479"/>
      <c r="D60" s="479"/>
      <c r="E60" s="479"/>
      <c r="F60" s="351"/>
      <c r="G60" s="41"/>
      <c r="H60" s="39"/>
    </row>
    <row r="61" spans="1:8" ht="15.75">
      <c r="A61" s="471"/>
      <c r="B61" s="479"/>
      <c r="C61" s="479"/>
      <c r="D61" s="479"/>
      <c r="E61" s="479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743</v>
      </c>
      <c r="D11" s="138">
        <v>897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-713</v>
      </c>
      <c r="D12" s="138">
        <v>-670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-262</v>
      </c>
      <c r="D14" s="138">
        <v>-397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</v>
      </c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-27</v>
      </c>
      <c r="D20" s="138">
        <v>-27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4">
        <f>SUM(C11:C20)</f>
        <v>-258</v>
      </c>
      <c r="D21" s="435">
        <f>SUM(D11:D20)</f>
        <v>-197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-93</v>
      </c>
      <c r="D23" s="138">
        <v>-117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352</v>
      </c>
      <c r="D25" s="138">
        <v>-53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-12</v>
      </c>
      <c r="D26" s="138">
        <v>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2000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4">
        <f>SUM(C23:C32)</f>
        <v>2254</v>
      </c>
      <c r="D33" s="435">
        <f>SUM(D23:D32)</f>
        <v>-163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14</v>
      </c>
      <c r="D37" s="138">
        <v>834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-524</v>
      </c>
      <c r="D38" s="138">
        <v>-524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-6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-36</v>
      </c>
      <c r="D40" s="138">
        <v>-49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130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6">
        <f>SUM(C35:C42)</f>
        <v>-552</v>
      </c>
      <c r="D43" s="437">
        <f>SUM(D35:D42)</f>
        <v>391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1444</v>
      </c>
      <c r="D44" s="246">
        <f>D43+D33+D21</f>
        <v>31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1288</v>
      </c>
      <c r="D45" s="247">
        <v>917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2732</v>
      </c>
      <c r="D46" s="249">
        <f>D45+D44</f>
        <v>948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2732</v>
      </c>
      <c r="D47" s="237">
        <v>948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668</v>
      </c>
      <c r="B54" s="480">
        <f>pdeReportingDate</f>
        <v>44321</v>
      </c>
      <c r="C54" s="480"/>
      <c r="D54" s="480"/>
      <c r="E54" s="480"/>
      <c r="F54" s="472"/>
      <c r="G54" s="472"/>
      <c r="H54" s="472"/>
      <c r="M54" s="85"/>
    </row>
    <row r="55" spans="1:13" s="39" customFormat="1" ht="15.7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0" t="s">
        <v>8</v>
      </c>
      <c r="B56" s="481" t="str">
        <f>authorName</f>
        <v>Николай Яцино</v>
      </c>
      <c r="C56" s="481"/>
      <c r="D56" s="481"/>
      <c r="E56" s="481"/>
      <c r="F56" s="67"/>
      <c r="G56" s="67"/>
      <c r="H56" s="67"/>
    </row>
    <row r="57" spans="1:8" s="39" customFormat="1" ht="15.7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1"/>
      <c r="B59" s="479" t="s">
        <v>670</v>
      </c>
      <c r="C59" s="479"/>
      <c r="D59" s="479"/>
      <c r="E59" s="479"/>
      <c r="F59" s="351"/>
      <c r="G59" s="41"/>
      <c r="H59" s="39"/>
    </row>
    <row r="60" spans="1:8" ht="15.75">
      <c r="A60" s="471"/>
      <c r="B60" s="479" t="s">
        <v>670</v>
      </c>
      <c r="C60" s="479"/>
      <c r="D60" s="479"/>
      <c r="E60" s="479"/>
      <c r="F60" s="351"/>
      <c r="G60" s="41"/>
      <c r="H60" s="39"/>
    </row>
    <row r="61" spans="1:8" ht="15.75">
      <c r="A61" s="471"/>
      <c r="B61" s="479" t="s">
        <v>670</v>
      </c>
      <c r="C61" s="479"/>
      <c r="D61" s="479"/>
      <c r="E61" s="479"/>
      <c r="F61" s="351"/>
      <c r="G61" s="41"/>
      <c r="H61" s="39"/>
    </row>
    <row r="62" spans="1:8" ht="15.75">
      <c r="A62" s="471"/>
      <c r="B62" s="479" t="s">
        <v>670</v>
      </c>
      <c r="C62" s="479"/>
      <c r="D62" s="479"/>
      <c r="E62" s="479"/>
      <c r="F62" s="351"/>
      <c r="G62" s="41"/>
      <c r="H62" s="39"/>
    </row>
    <row r="63" spans="1:8" ht="15.75">
      <c r="A63" s="471"/>
      <c r="B63" s="479"/>
      <c r="C63" s="479"/>
      <c r="D63" s="479"/>
      <c r="E63" s="479"/>
      <c r="F63" s="351"/>
      <c r="G63" s="41"/>
      <c r="H63" s="39"/>
    </row>
    <row r="64" spans="1:8" ht="15.75">
      <c r="A64" s="471"/>
      <c r="B64" s="479"/>
      <c r="C64" s="479"/>
      <c r="D64" s="479"/>
      <c r="E64" s="479"/>
      <c r="F64" s="351"/>
      <c r="G64" s="41"/>
      <c r="H64" s="39"/>
    </row>
    <row r="65" spans="1:8" ht="15.75">
      <c r="A65" s="471"/>
      <c r="B65" s="479"/>
      <c r="C65" s="479"/>
      <c r="D65" s="479"/>
      <c r="E65" s="479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8">
      <selection activeCell="I18" sqref="I18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9" t="s">
        <v>453</v>
      </c>
      <c r="B8" s="492" t="s">
        <v>454</v>
      </c>
      <c r="C8" s="485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5" t="s">
        <v>460</v>
      </c>
      <c r="L8" s="485" t="s">
        <v>461</v>
      </c>
      <c r="M8" s="308"/>
      <c r="N8" s="309"/>
    </row>
    <row r="9" spans="1:14" s="310" customFormat="1" ht="31.5">
      <c r="A9" s="490"/>
      <c r="B9" s="493"/>
      <c r="C9" s="486"/>
      <c r="D9" s="488" t="s">
        <v>550</v>
      </c>
      <c r="E9" s="488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86"/>
      <c r="L9" s="486"/>
      <c r="M9" s="313" t="s">
        <v>549</v>
      </c>
      <c r="N9" s="309"/>
    </row>
    <row r="10" spans="1:14" s="310" customFormat="1" ht="31.5">
      <c r="A10" s="491"/>
      <c r="B10" s="494"/>
      <c r="C10" s="487"/>
      <c r="D10" s="488"/>
      <c r="E10" s="488"/>
      <c r="F10" s="311" t="s">
        <v>462</v>
      </c>
      <c r="G10" s="311" t="s">
        <v>463</v>
      </c>
      <c r="H10" s="311" t="s">
        <v>464</v>
      </c>
      <c r="I10" s="487"/>
      <c r="J10" s="487"/>
      <c r="K10" s="487"/>
      <c r="L10" s="487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58776</v>
      </c>
      <c r="D13" s="361">
        <f>'1-Баланс'!H20</f>
        <v>5497</v>
      </c>
      <c r="E13" s="361">
        <f>'1-Баланс'!H21</f>
        <v>0</v>
      </c>
      <c r="F13" s="361">
        <f>'1-Баланс'!H23</f>
        <v>1042</v>
      </c>
      <c r="G13" s="361">
        <f>'1-Баланс'!H24</f>
        <v>0</v>
      </c>
      <c r="H13" s="362"/>
      <c r="I13" s="361">
        <f>'1-Баланс'!H29+'1-Баланс'!H32</f>
        <v>8139</v>
      </c>
      <c r="J13" s="361">
        <f>'1-Баланс'!H30+'1-Баланс'!H33</f>
        <v>-14</v>
      </c>
      <c r="K13" s="362"/>
      <c r="L13" s="361">
        <f>SUM(C13:K13)</f>
        <v>73440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29">
        <f>C13+C14</f>
        <v>58776</v>
      </c>
      <c r="D17" s="429">
        <f aca="true" t="shared" si="2" ref="D17:M17">D13+D14</f>
        <v>5497</v>
      </c>
      <c r="E17" s="429">
        <f t="shared" si="2"/>
        <v>0</v>
      </c>
      <c r="F17" s="429">
        <f t="shared" si="2"/>
        <v>1042</v>
      </c>
      <c r="G17" s="429">
        <f t="shared" si="2"/>
        <v>0</v>
      </c>
      <c r="H17" s="429">
        <f t="shared" si="2"/>
        <v>0</v>
      </c>
      <c r="I17" s="429">
        <f t="shared" si="2"/>
        <v>8139</v>
      </c>
      <c r="J17" s="429">
        <f t="shared" si="2"/>
        <v>-14</v>
      </c>
      <c r="K17" s="429">
        <f t="shared" si="2"/>
        <v>0</v>
      </c>
      <c r="L17" s="361">
        <f t="shared" si="1"/>
        <v>73440</v>
      </c>
      <c r="M17" s="430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1"/>
      <c r="D18" s="431"/>
      <c r="E18" s="431"/>
      <c r="F18" s="431"/>
      <c r="G18" s="431"/>
      <c r="H18" s="431"/>
      <c r="I18" s="361">
        <f>+'1-Баланс'!G32</f>
        <v>73</v>
      </c>
      <c r="J18" s="361">
        <f>+'1-Баланс'!G33</f>
        <v>0</v>
      </c>
      <c r="K18" s="362"/>
      <c r="L18" s="361">
        <f t="shared" si="1"/>
        <v>73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29">
        <f>C19+C22+C23+C26+C30+C29+C17+C18</f>
        <v>58776</v>
      </c>
      <c r="D31" s="429">
        <f aca="true" t="shared" si="6" ref="D31:M31">D19+D22+D23+D26+D30+D29+D17+D18</f>
        <v>5497</v>
      </c>
      <c r="E31" s="429">
        <f t="shared" si="6"/>
        <v>0</v>
      </c>
      <c r="F31" s="429">
        <f t="shared" si="6"/>
        <v>1042</v>
      </c>
      <c r="G31" s="429">
        <f t="shared" si="6"/>
        <v>0</v>
      </c>
      <c r="H31" s="429">
        <f t="shared" si="6"/>
        <v>0</v>
      </c>
      <c r="I31" s="429">
        <f t="shared" si="6"/>
        <v>8212</v>
      </c>
      <c r="J31" s="429">
        <f t="shared" si="6"/>
        <v>-14</v>
      </c>
      <c r="K31" s="429">
        <f t="shared" si="6"/>
        <v>0</v>
      </c>
      <c r="L31" s="361">
        <f t="shared" si="1"/>
        <v>73513</v>
      </c>
      <c r="M31" s="430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8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58776</v>
      </c>
      <c r="D34" s="364">
        <f t="shared" si="7"/>
        <v>5497</v>
      </c>
      <c r="E34" s="364">
        <f t="shared" si="7"/>
        <v>0</v>
      </c>
      <c r="F34" s="364">
        <f t="shared" si="7"/>
        <v>1042</v>
      </c>
      <c r="G34" s="364">
        <f t="shared" si="7"/>
        <v>0</v>
      </c>
      <c r="H34" s="364">
        <f t="shared" si="7"/>
        <v>0</v>
      </c>
      <c r="I34" s="364">
        <f t="shared" si="7"/>
        <v>8212</v>
      </c>
      <c r="J34" s="364">
        <f t="shared" si="7"/>
        <v>-14</v>
      </c>
      <c r="K34" s="364">
        <f t="shared" si="7"/>
        <v>0</v>
      </c>
      <c r="L34" s="427">
        <f t="shared" si="1"/>
        <v>73513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69" t="s">
        <v>668</v>
      </c>
      <c r="B38" s="480">
        <f>pdeReportingDate</f>
        <v>44321</v>
      </c>
      <c r="C38" s="480"/>
      <c r="D38" s="480"/>
      <c r="E38" s="480"/>
      <c r="F38" s="480"/>
      <c r="G38" s="480"/>
      <c r="H38" s="480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1" t="str">
        <f>authorName</f>
        <v>Николай Яцино</v>
      </c>
      <c r="C40" s="481"/>
      <c r="D40" s="481"/>
      <c r="E40" s="481"/>
      <c r="F40" s="481"/>
      <c r="G40" s="481"/>
      <c r="H40" s="481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1"/>
      <c r="B43" s="479" t="s">
        <v>670</v>
      </c>
      <c r="C43" s="479"/>
      <c r="D43" s="479"/>
      <c r="E43" s="479"/>
      <c r="F43" s="351"/>
      <c r="G43" s="41"/>
      <c r="H43" s="39"/>
      <c r="M43" s="110"/>
    </row>
    <row r="44" spans="1:13" ht="15.75">
      <c r="A44" s="471"/>
      <c r="B44" s="479" t="s">
        <v>670</v>
      </c>
      <c r="C44" s="479"/>
      <c r="D44" s="479"/>
      <c r="E44" s="479"/>
      <c r="F44" s="351"/>
      <c r="G44" s="41"/>
      <c r="H44" s="39"/>
      <c r="M44" s="110"/>
    </row>
    <row r="45" spans="1:13" ht="15.75">
      <c r="A45" s="471"/>
      <c r="B45" s="479" t="s">
        <v>670</v>
      </c>
      <c r="C45" s="479"/>
      <c r="D45" s="479"/>
      <c r="E45" s="479"/>
      <c r="F45" s="351"/>
      <c r="G45" s="41"/>
      <c r="H45" s="39"/>
      <c r="M45" s="110"/>
    </row>
    <row r="46" spans="1:13" ht="15.75">
      <c r="A46" s="471"/>
      <c r="B46" s="479" t="s">
        <v>670</v>
      </c>
      <c r="C46" s="479"/>
      <c r="D46" s="479"/>
      <c r="E46" s="479"/>
      <c r="F46" s="351"/>
      <c r="G46" s="41"/>
      <c r="H46" s="39"/>
      <c r="M46" s="110"/>
    </row>
    <row r="47" spans="1:13" ht="15.75">
      <c r="A47" s="471"/>
      <c r="B47" s="479"/>
      <c r="C47" s="479"/>
      <c r="D47" s="479"/>
      <c r="E47" s="479"/>
      <c r="F47" s="351"/>
      <c r="G47" s="41"/>
      <c r="H47" s="39"/>
      <c r="M47" s="110"/>
    </row>
    <row r="48" spans="1:13" ht="15.75">
      <c r="A48" s="471"/>
      <c r="B48" s="479"/>
      <c r="C48" s="479"/>
      <c r="D48" s="479"/>
      <c r="E48" s="479"/>
      <c r="F48" s="351"/>
      <c r="G48" s="41"/>
      <c r="H48" s="39"/>
      <c r="M48" s="110"/>
    </row>
    <row r="49" spans="1:13" ht="15.75">
      <c r="A49" s="471"/>
      <c r="B49" s="479"/>
      <c r="C49" s="479"/>
      <c r="D49" s="479"/>
      <c r="E49" s="479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C82" activeCellId="1" sqref="C27 C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77" t="s">
        <v>698</v>
      </c>
      <c r="B12" s="478"/>
      <c r="C12" s="79">
        <v>7035</v>
      </c>
      <c r="D12" s="79">
        <v>100</v>
      </c>
      <c r="E12" s="79"/>
      <c r="F12" s="258">
        <f>C12-E12</f>
        <v>7035</v>
      </c>
    </row>
    <row r="13" spans="1:6" ht="15.75">
      <c r="A13" s="477" t="s">
        <v>692</v>
      </c>
      <c r="B13" s="478"/>
      <c r="C13" s="79">
        <v>17865</v>
      </c>
      <c r="D13" s="79">
        <v>87.65</v>
      </c>
      <c r="E13" s="79"/>
      <c r="F13" s="258">
        <f aca="true" t="shared" si="0" ref="F13:F26">C13-E13</f>
        <v>17865</v>
      </c>
    </row>
    <row r="14" spans="1:6" ht="15.75">
      <c r="A14" s="477" t="s">
        <v>693</v>
      </c>
      <c r="B14" s="478"/>
      <c r="C14" s="79">
        <v>39311</v>
      </c>
      <c r="D14" s="79">
        <v>77.71</v>
      </c>
      <c r="E14" s="79"/>
      <c r="F14" s="258">
        <f t="shared" si="0"/>
        <v>39311</v>
      </c>
    </row>
    <row r="15" spans="1:6" ht="15.75">
      <c r="A15" s="477" t="s">
        <v>694</v>
      </c>
      <c r="B15" s="478"/>
      <c r="C15" s="79">
        <v>50</v>
      </c>
      <c r="D15" s="79">
        <v>72.9</v>
      </c>
      <c r="E15" s="79"/>
      <c r="F15" s="258">
        <f t="shared" si="0"/>
        <v>50</v>
      </c>
    </row>
    <row r="16" spans="1:6" ht="15.75">
      <c r="A16" s="477" t="s">
        <v>695</v>
      </c>
      <c r="B16" s="478"/>
      <c r="C16" s="79">
        <v>66</v>
      </c>
      <c r="D16" s="79">
        <v>66</v>
      </c>
      <c r="E16" s="79"/>
      <c r="F16" s="258">
        <f t="shared" si="0"/>
        <v>66</v>
      </c>
    </row>
    <row r="17" spans="1:6" ht="15.75">
      <c r="A17" s="477" t="s">
        <v>699</v>
      </c>
      <c r="B17" s="478"/>
      <c r="C17" s="79">
        <v>106</v>
      </c>
      <c r="D17" s="79">
        <v>80</v>
      </c>
      <c r="E17" s="79"/>
      <c r="F17" s="258">
        <f t="shared" si="0"/>
        <v>106</v>
      </c>
    </row>
    <row r="18" spans="1:6" ht="15.75">
      <c r="A18" s="477">
        <v>7</v>
      </c>
      <c r="B18" s="478"/>
      <c r="C18" s="79"/>
      <c r="D18" s="79"/>
      <c r="E18" s="79"/>
      <c r="F18" s="258">
        <f t="shared" si="0"/>
        <v>0</v>
      </c>
    </row>
    <row r="19" spans="1:6" ht="15.75">
      <c r="A19" s="477">
        <v>8</v>
      </c>
      <c r="B19" s="478"/>
      <c r="C19" s="79"/>
      <c r="D19" s="79"/>
      <c r="E19" s="79"/>
      <c r="F19" s="258">
        <f t="shared" si="0"/>
        <v>0</v>
      </c>
    </row>
    <row r="20" spans="1:6" ht="15.75">
      <c r="A20" s="477">
        <v>9</v>
      </c>
      <c r="B20" s="478"/>
      <c r="C20" s="79"/>
      <c r="D20" s="79"/>
      <c r="E20" s="79"/>
      <c r="F20" s="258">
        <f t="shared" si="0"/>
        <v>0</v>
      </c>
    </row>
    <row r="21" spans="1:6" ht="15.75">
      <c r="A21" s="477">
        <v>10</v>
      </c>
      <c r="B21" s="478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64433</v>
      </c>
      <c r="D27" s="261"/>
      <c r="E27" s="261">
        <f>SUM(E12:E26)</f>
        <v>0</v>
      </c>
      <c r="F27" s="261">
        <f>SUM(F12:F26)</f>
        <v>64433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 t="s">
        <v>701</v>
      </c>
      <c r="B29" s="456"/>
      <c r="C29" s="79"/>
      <c r="D29" s="79"/>
      <c r="E29" s="79"/>
      <c r="F29" s="258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>
        <v>1</v>
      </c>
      <c r="B46" s="456"/>
      <c r="C46" s="79"/>
      <c r="D46" s="79"/>
      <c r="E46" s="79"/>
      <c r="F46" s="258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8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>
        <v>1</v>
      </c>
      <c r="B63" s="456"/>
      <c r="C63" s="79"/>
      <c r="D63" s="79"/>
      <c r="E63" s="79"/>
      <c r="F63" s="258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8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8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64433</v>
      </c>
      <c r="D79" s="261"/>
      <c r="E79" s="261">
        <f>E78+E61+E44+E27</f>
        <v>0</v>
      </c>
      <c r="F79" s="261">
        <f>F78+F61+F44+F27</f>
        <v>64433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 t="s">
        <v>696</v>
      </c>
      <c r="B82" s="456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5">
        <v>2</v>
      </c>
      <c r="B83" s="456"/>
      <c r="C83" s="79"/>
      <c r="D83" s="79"/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 t="s">
        <v>700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69" t="s">
        <v>668</v>
      </c>
      <c r="B151" s="480">
        <f>pdeReportingDate</f>
        <v>44321</v>
      </c>
      <c r="C151" s="480"/>
      <c r="D151" s="480"/>
      <c r="E151" s="480"/>
      <c r="F151" s="480"/>
      <c r="G151" s="480"/>
      <c r="H151" s="480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1" t="str">
        <f>authorName</f>
        <v>Николай Яцино</v>
      </c>
      <c r="C153" s="481"/>
      <c r="D153" s="481"/>
      <c r="E153" s="481"/>
      <c r="F153" s="481"/>
      <c r="G153" s="481"/>
      <c r="H153" s="481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1"/>
      <c r="B156" s="479" t="s">
        <v>670</v>
      </c>
      <c r="C156" s="479"/>
      <c r="D156" s="479"/>
      <c r="E156" s="479"/>
      <c r="F156" s="351"/>
      <c r="G156" s="41"/>
      <c r="H156" s="39"/>
    </row>
    <row r="157" spans="1:8" ht="15.75">
      <c r="A157" s="471"/>
      <c r="B157" s="479" t="s">
        <v>670</v>
      </c>
      <c r="C157" s="479"/>
      <c r="D157" s="479"/>
      <c r="E157" s="479"/>
      <c r="F157" s="351"/>
      <c r="G157" s="41"/>
      <c r="H157" s="39"/>
    </row>
    <row r="158" spans="1:8" ht="15.75">
      <c r="A158" s="471"/>
      <c r="B158" s="479" t="s">
        <v>670</v>
      </c>
      <c r="C158" s="479"/>
      <c r="D158" s="479"/>
      <c r="E158" s="479"/>
      <c r="F158" s="351"/>
      <c r="G158" s="41"/>
      <c r="H158" s="39"/>
    </row>
    <row r="159" spans="1:8" ht="15.75">
      <c r="A159" s="471"/>
      <c r="B159" s="479" t="s">
        <v>670</v>
      </c>
      <c r="C159" s="479"/>
      <c r="D159" s="479"/>
      <c r="E159" s="479"/>
      <c r="F159" s="351"/>
      <c r="G159" s="41"/>
      <c r="H159" s="39"/>
    </row>
    <row r="160" spans="1:8" ht="15.75">
      <c r="A160" s="471"/>
      <c r="B160" s="479"/>
      <c r="C160" s="479"/>
      <c r="D160" s="479"/>
      <c r="E160" s="479"/>
      <c r="F160" s="351"/>
      <c r="G160" s="41"/>
      <c r="H160" s="39"/>
    </row>
    <row r="161" spans="1:8" ht="15.75">
      <c r="A161" s="471"/>
      <c r="B161" s="479"/>
      <c r="C161" s="479"/>
      <c r="D161" s="479"/>
      <c r="E161" s="479"/>
      <c r="F161" s="351"/>
      <c r="G161" s="41"/>
      <c r="H161" s="39"/>
    </row>
    <row r="162" spans="1:8" ht="15.75">
      <c r="A162" s="471"/>
      <c r="B162" s="479"/>
      <c r="C162" s="479"/>
      <c r="D162" s="479"/>
      <c r="E162" s="479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01.01.2021 г. до 31.03.2021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95186</v>
      </c>
      <c r="D6" s="451">
        <f aca="true" t="shared" si="0" ref="D6:D15">C6-E6</f>
        <v>0</v>
      </c>
      <c r="E6" s="450">
        <f>'1-Баланс'!G95</f>
        <v>95186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73513</v>
      </c>
      <c r="D7" s="451">
        <f t="shared" si="0"/>
        <v>14737</v>
      </c>
      <c r="E7" s="450">
        <f>'1-Баланс'!G18</f>
        <v>58776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73</v>
      </c>
      <c r="D8" s="451">
        <f t="shared" si="0"/>
        <v>0</v>
      </c>
      <c r="E8" s="450">
        <f>ABS('2-Отчет за доходите'!C44)-ABS('2-Отчет за доходите'!G44)</f>
        <v>73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1288</v>
      </c>
      <c r="D9" s="451">
        <f t="shared" si="0"/>
        <v>0</v>
      </c>
      <c r="E9" s="450">
        <f>'3-Отчет за паричния поток'!C45</f>
        <v>1288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2732</v>
      </c>
      <c r="D10" s="451">
        <f t="shared" si="0"/>
        <v>0</v>
      </c>
      <c r="E10" s="450">
        <f>'3-Отчет за паричния поток'!C46</f>
        <v>2732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73513</v>
      </c>
      <c r="D11" s="451">
        <f t="shared" si="0"/>
        <v>0</v>
      </c>
      <c r="E11" s="450">
        <f>'4-Отчет за собствения капитал'!L34</f>
        <v>73513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67904</v>
      </c>
      <c r="D12" s="451">
        <f t="shared" si="0"/>
        <v>0</v>
      </c>
      <c r="E12" s="450">
        <f>'Справка 5'!C27+'Справка 5'!C97</f>
        <v>67904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9">
        <v>1</v>
      </c>
      <c r="B3" s="367" t="s">
        <v>579</v>
      </c>
      <c r="C3" s="368" t="s">
        <v>578</v>
      </c>
      <c r="D3" s="418">
        <f>(ABS('1-Баланс'!G32)-ABS('1-Баланс'!G33))/'2-Отчет за доходите'!G16</f>
        <v>0.08659549228944247</v>
      </c>
      <c r="E3" s="422"/>
    </row>
    <row r="4" spans="1:4" ht="31.5">
      <c r="A4" s="369">
        <v>2</v>
      </c>
      <c r="B4" s="367" t="s">
        <v>605</v>
      </c>
      <c r="C4" s="368" t="s">
        <v>582</v>
      </c>
      <c r="D4" s="418">
        <f>(ABS('1-Баланс'!G32)-ABS('1-Баланс'!G33))/'1-Баланс'!G37</f>
        <v>0.0009930216424305905</v>
      </c>
    </row>
    <row r="5" spans="1:4" ht="31.5">
      <c r="A5" s="369">
        <v>3</v>
      </c>
      <c r="B5" s="367" t="s">
        <v>583</v>
      </c>
      <c r="C5" s="368" t="s">
        <v>584</v>
      </c>
      <c r="D5" s="418">
        <f>(ABS('1-Баланс'!G32)-ABS('1-Баланс'!G33))/('1-Баланс'!G56+'1-Баланс'!G79)</f>
        <v>0.0033682462049554746</v>
      </c>
    </row>
    <row r="6" spans="1:4" ht="31.5">
      <c r="A6" s="369">
        <v>4</v>
      </c>
      <c r="B6" s="367" t="s">
        <v>606</v>
      </c>
      <c r="C6" s="368" t="s">
        <v>585</v>
      </c>
      <c r="D6" s="418">
        <f>(ABS('1-Баланс'!G32)-ABS('1-Баланс'!G33))/('1-Баланс'!C95)</f>
        <v>0.0007669195049692182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9">
        <v>5</v>
      </c>
      <c r="B8" s="367" t="s">
        <v>587</v>
      </c>
      <c r="C8" s="368" t="s">
        <v>588</v>
      </c>
      <c r="D8" s="417">
        <f>'2-Отчет за доходите'!G36/'2-Отчет за доходите'!C36</f>
        <v>1.093112244897959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9">
        <v>6</v>
      </c>
      <c r="B10" s="367" t="s">
        <v>590</v>
      </c>
      <c r="C10" s="368" t="s">
        <v>591</v>
      </c>
      <c r="D10" s="417">
        <f>'1-Баланс'!C94/'1-Баланс'!G79</f>
        <v>0.6251435731439908</v>
      </c>
    </row>
    <row r="11" spans="1:4" ht="63">
      <c r="A11" s="369">
        <v>7</v>
      </c>
      <c r="B11" s="367" t="s">
        <v>592</v>
      </c>
      <c r="C11" s="368" t="s">
        <v>657</v>
      </c>
      <c r="D11" s="417">
        <f>('1-Баланс'!C76+'1-Баланс'!C85+'1-Баланс'!C92)/'1-Баланс'!G79</f>
        <v>0.5961156938498486</v>
      </c>
    </row>
    <row r="12" spans="1:4" ht="47.25">
      <c r="A12" s="369">
        <v>8</v>
      </c>
      <c r="B12" s="367" t="s">
        <v>593</v>
      </c>
      <c r="C12" s="368" t="s">
        <v>658</v>
      </c>
      <c r="D12" s="417">
        <f>('1-Баланс'!C85+'1-Баланс'!C92)/'1-Баланс'!G79</f>
        <v>0.28526678500574293</v>
      </c>
    </row>
    <row r="13" spans="1:4" ht="31.5">
      <c r="A13" s="369">
        <v>9</v>
      </c>
      <c r="B13" s="367" t="s">
        <v>594</v>
      </c>
      <c r="C13" s="368" t="s">
        <v>595</v>
      </c>
      <c r="D13" s="417">
        <f>'1-Баланс'!C92/'1-Баланс'!G79</f>
        <v>0.28526678500574293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9">
        <v>10</v>
      </c>
      <c r="B15" s="367" t="s">
        <v>610</v>
      </c>
      <c r="C15" s="368" t="s">
        <v>597</v>
      </c>
      <c r="D15" s="417">
        <f>'2-Отчет за доходите'!G16/('1-Баланс'!C20+'1-Баланс'!C21+'1-Баланс'!C22+'1-Баланс'!C28+'1-Баланс'!C65)</f>
        <v>0.04835933914639743</v>
      </c>
    </row>
    <row r="16" spans="1:4" ht="31.5">
      <c r="A16" s="424">
        <v>11</v>
      </c>
      <c r="B16" s="367" t="s">
        <v>596</v>
      </c>
      <c r="C16" s="368" t="s">
        <v>609</v>
      </c>
      <c r="D16" s="425">
        <f>'2-Отчет за доходите'!G16/('1-Баланс'!C95)</f>
        <v>0.008856344420397958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9">
        <v>12</v>
      </c>
      <c r="B18" s="367" t="s">
        <v>625</v>
      </c>
      <c r="C18" s="368" t="s">
        <v>598</v>
      </c>
      <c r="D18" s="417">
        <f>'1-Баланс'!G56/('1-Баланс'!G37+'1-Баланс'!G56)</f>
        <v>0.14129355558410914</v>
      </c>
    </row>
    <row r="19" spans="1:4" ht="31.5">
      <c r="A19" s="369">
        <v>13</v>
      </c>
      <c r="B19" s="367" t="s">
        <v>626</v>
      </c>
      <c r="C19" s="368" t="s">
        <v>600</v>
      </c>
      <c r="D19" s="417">
        <f>D4/D5</f>
        <v>0.29481860351230393</v>
      </c>
    </row>
    <row r="20" spans="1:4" ht="31.5">
      <c r="A20" s="369">
        <v>14</v>
      </c>
      <c r="B20" s="367" t="s">
        <v>601</v>
      </c>
      <c r="C20" s="368" t="s">
        <v>602</v>
      </c>
      <c r="D20" s="417">
        <f>D6/D5</f>
        <v>0.22769104700271048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143</v>
      </c>
      <c r="E21" s="473"/>
    </row>
    <row r="22" spans="1:4" ht="47.25">
      <c r="A22" s="369">
        <v>16</v>
      </c>
      <c r="B22" s="367" t="s">
        <v>607</v>
      </c>
      <c r="C22" s="368" t="s">
        <v>608</v>
      </c>
      <c r="D22" s="423">
        <f>D21/'1-Баланс'!G37</f>
        <v>0.001945234176268143</v>
      </c>
    </row>
    <row r="23" spans="1:4" ht="31.5">
      <c r="A23" s="369">
        <v>17</v>
      </c>
      <c r="B23" s="367" t="s">
        <v>671</v>
      </c>
      <c r="C23" s="368" t="s">
        <v>672</v>
      </c>
      <c r="D23" s="423">
        <f>(D21+'2-Отчет за доходите'!C14)/'2-Отчет за доходите'!G31</f>
        <v>0.3267211201866978</v>
      </c>
    </row>
    <row r="24" spans="1:4" ht="31.5">
      <c r="A24" s="369">
        <v>18</v>
      </c>
      <c r="B24" s="367" t="s">
        <v>673</v>
      </c>
      <c r="C24" s="368" t="s">
        <v>674</v>
      </c>
      <c r="D24" s="423">
        <f>('1-Баланс'!G56+'1-Баланс'!G79)/(D21+'2-Отчет за доходите'!C14)</f>
        <v>77.40357142857142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149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72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156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203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74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29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683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7149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938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4859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3803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9600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67904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67904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67904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3807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3807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56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89199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2402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39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38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498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2977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45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2687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2732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278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5987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95186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-585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58776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5497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1042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1042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6539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8125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8139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73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8198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73513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6179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5879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38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12096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12096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4314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5183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4857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133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126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51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80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9577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9577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95186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14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260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137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286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28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-27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3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701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70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7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6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83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784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73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784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73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73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73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857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829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843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14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857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857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857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743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-713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-262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1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-27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-258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-93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352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-12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7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2000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2254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14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-524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-6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-36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-552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44286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1444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44286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1288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44286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2732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44286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2732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44286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44286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58776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44286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44286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44286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44286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58776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44286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44286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44286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44286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44286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44286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44286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44286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44286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44286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44286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44286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44286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44286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58776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44286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44286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44286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58776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44286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5497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44286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44286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44286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44286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5497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44286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44286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44286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44286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44286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44286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44286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44286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44286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44286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44286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44286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44286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44286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5497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44286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44286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44286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5497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44286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44286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44286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44286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44286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44286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44286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44286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44286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44286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44286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44286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44286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44286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44286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44286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44286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44286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44286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44286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44286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44286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44286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1042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44286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44286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44286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44286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1042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44286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44286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44286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44286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44286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44286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44286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44286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44286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44286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44286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44286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44286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44286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1042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44286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44286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44286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1042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44286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44286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44286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44286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44286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44286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44286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44286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44286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44286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44286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44286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44286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44286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44286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44286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44286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44286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44286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44286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44286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44286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44286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44286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44286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44286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44286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44286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44286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44286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44286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44286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44286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44286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44286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44286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44286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44286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44286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44286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44286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44286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44286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44286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44286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8139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44286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44286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44286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44286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8139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44286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73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44286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44286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44286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44286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44286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44286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44286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44286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44286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44286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44286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44286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44286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8212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44286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44286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44286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8212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44286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44286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44286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44286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44286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44286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44286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44286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44286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44286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44286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44286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44286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44286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44286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44286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44286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44286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44286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44286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44286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44286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44286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44286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44286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44286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44286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44286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44286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44286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44286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44286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44286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44286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44286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44286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44286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44286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44286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44286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44286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44286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44286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44286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44286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73440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44286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44286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44286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44286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73440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44286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73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44286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44286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44286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44286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44286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44286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44286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44286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44286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44286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44286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44286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44286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73513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44286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44286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44286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73513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44286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44286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44286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44286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44286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44286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44286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44286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44286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44286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44286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44286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44286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44286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44286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44286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44286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44286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44286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44286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44286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44286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4">
        <f>'Справка 5'!C27</f>
        <v>64433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44286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44286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44286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44286</v>
      </c>
      <c r="D468" s="92" t="s">
        <v>528</v>
      </c>
      <c r="E468" s="92">
        <v>1</v>
      </c>
      <c r="F468" s="92" t="s">
        <v>517</v>
      </c>
      <c r="H468" s="284">
        <f>'Справка 5'!C79</f>
        <v>64433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44286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44286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44286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44286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44286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44286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44286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44286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44286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44286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44286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44286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44286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44286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44286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44286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44286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44286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44286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44286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44286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44286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44286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44286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44286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44286</v>
      </c>
      <c r="D494" s="92" t="s">
        <v>519</v>
      </c>
      <c r="E494" s="92">
        <v>4</v>
      </c>
      <c r="F494" s="92" t="s">
        <v>518</v>
      </c>
      <c r="H494" s="284">
        <f>'Справка 5'!F27</f>
        <v>64433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44286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44286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44286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44286</v>
      </c>
      <c r="D498" s="92" t="s">
        <v>528</v>
      </c>
      <c r="E498" s="92">
        <v>4</v>
      </c>
      <c r="F498" s="92" t="s">
        <v>517</v>
      </c>
      <c r="H498" s="284">
        <f>'Справка 5'!F79</f>
        <v>64433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44286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44286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44286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44286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44286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2017-04-28T12:56:02Z</cp:lastPrinted>
  <dcterms:created xsi:type="dcterms:W3CDTF">2006-09-16T00:00:00Z</dcterms:created>
  <dcterms:modified xsi:type="dcterms:W3CDTF">2021-05-05T11:39:35Z</dcterms:modified>
  <cp:category/>
  <cp:version/>
  <cp:contentType/>
  <cp:contentStatus/>
</cp:coreProperties>
</file>